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Interactive_Model" sheetId="2" state="visible" r:id="rId2"/>
    <sheet xmlns:r="http://schemas.openxmlformats.org/officeDocument/2006/relationships" name="Scenario_Sensitivity" sheetId="3" state="visible" r:id="rId3"/>
    <sheet xmlns:r="http://schemas.openxmlformats.org/officeDocument/2006/relationships" name="Documentation_Leg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0.0&quot;x&quot;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595959"/>
      <sz val="9"/>
    </font>
    <font>
      <name val="Calibri"/>
      <b val="1"/>
      <color rgb="001F4E79"/>
      <sz val="18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000000"/>
      <sz val="11"/>
    </font>
  </fonts>
  <fills count="9">
    <fill>
      <patternFill/>
    </fill>
    <fill>
      <patternFill patternType="gray125"/>
    </fill>
    <fill>
      <patternFill patternType="solid">
        <fgColor rgb="00F2F4F8"/>
        <bgColor rgb="00F2F4F8"/>
      </patternFill>
    </fill>
    <fill>
      <patternFill patternType="solid">
        <fgColor rgb="001F4E79"/>
        <bgColor rgb="001F4E79"/>
      </patternFill>
    </fill>
    <fill>
      <patternFill patternType="solid">
        <fgColor rgb="002F5496"/>
        <bgColor rgb="002F5496"/>
      </patternFill>
    </fill>
    <fill>
      <patternFill patternType="solid">
        <fgColor rgb="00F9FAFB"/>
        <bgColor rgb="00F9FAFB"/>
      </patternFill>
    </fill>
    <fill>
      <patternFill patternType="solid">
        <fgColor rgb="00D9E1F2"/>
        <bgColor rgb="00D9E1F2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center" vertical="center"/>
    </xf>
    <xf numFmtId="2" fontId="4" fillId="2" borderId="1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7" fillId="6" borderId="2" applyAlignment="1" pivotButton="0" quotePrefix="0" xfId="0">
      <alignment horizontal="left" vertical="center"/>
    </xf>
    <xf numFmtId="164" fontId="7" fillId="6" borderId="2" applyAlignment="1" pivotButton="0" quotePrefix="0" xfId="0">
      <alignment horizontal="right" vertical="center"/>
    </xf>
    <xf numFmtId="0" fontId="7" fillId="6" borderId="2" applyAlignment="1" pivotButton="0" quotePrefix="0" xfId="0">
      <alignment horizontal="center" vertical="center"/>
    </xf>
    <xf numFmtId="165" fontId="6" fillId="5" borderId="1" applyAlignment="1" pivotButton="0" quotePrefix="0" xfId="0">
      <alignment horizontal="right" vertical="center"/>
    </xf>
    <xf numFmtId="0" fontId="5" fillId="3" borderId="1" pivotButton="0" quotePrefix="0" xfId="0"/>
    <xf numFmtId="0" fontId="5" fillId="3" borderId="1" applyAlignment="1" pivotButton="0" quotePrefix="0" xfId="0">
      <alignment horizontal="center" vertical="center"/>
    </xf>
    <xf numFmtId="0" fontId="7" fillId="0" borderId="1" pivotButton="0" quotePrefix="0" xfId="0"/>
    <xf numFmtId="0" fontId="2" fillId="0" borderId="1" pivotButton="0" quotePrefix="0" xfId="0"/>
    <xf numFmtId="164" fontId="0" fillId="7" borderId="1" pivotButton="0" quotePrefix="0" xfId="0"/>
    <xf numFmtId="164" fontId="0" fillId="8" borderId="1" pivotButton="0" quotePrefix="0" xfId="0"/>
    <xf numFmtId="164" fontId="0" fillId="0" borderId="1" pivotButton="0" quotePrefix="0" xfId="0"/>
    <xf numFmtId="3" fontId="0" fillId="7" borderId="1" applyAlignment="1" pivotButton="0" quotePrefix="0" xfId="0">
      <alignment horizontal="right" vertical="center"/>
    </xf>
    <xf numFmtId="3" fontId="0" fillId="0" borderId="1" pivotButton="0" quotePrefix="0" xfId="0"/>
    <xf numFmtId="0" fontId="6" fillId="0" borderId="1" pivotButton="0" quotePrefix="0" xfId="0"/>
    <xf numFmtId="164" fontId="0" fillId="7" borderId="1" applyAlignment="1" pivotButton="0" quotePrefix="0" xfId="0">
      <alignment horizontal="right" vertical="center"/>
    </xf>
    <xf numFmtId="164" fontId="0" fillId="8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164" fontId="7" fillId="0" borderId="1" pivotButton="0" quotePrefix="0" xfId="0"/>
    <xf numFmtId="0" fontId="0" fillId="0" borderId="1" pivotButton="0" quotePrefix="0" xfId="0"/>
    <xf numFmtId="165" fontId="0" fillId="7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65" fontId="0" fillId="8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166" fontId="0" fillId="8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2" fontId="0" fillId="8" borderId="1" applyAlignment="1" pivotButton="0" quotePrefix="0" xfId="0">
      <alignment horizontal="right" vertical="center"/>
    </xf>
    <xf numFmtId="2" fontId="7" fillId="0" borderId="1" applyAlignment="1" pivotButton="0" quotePrefix="0" xfId="0">
      <alignment horizontal="right" vertical="center"/>
    </xf>
    <xf numFmtId="0" fontId="5" fillId="3" borderId="0" pivotButton="0" quotePrefix="0" xfId="0"/>
    <xf numFmtId="0" fontId="7" fillId="8" borderId="1" pivotButton="0" quotePrefix="0" xfId="0"/>
    <xf numFmtId="0" fontId="0" fillId="8" borderId="1" applyAlignment="1" pivotButton="0" quotePrefix="0" xfId="0">
      <alignment horizontal="center" vertical="center"/>
    </xf>
    <xf numFmtId="165" fontId="0" fillId="7" borderId="1" pivotButton="0" quotePrefix="0" xfId="0"/>
    <xf numFmtId="3" fontId="0" fillId="7" borderId="1" pivotButton="0" quotePrefix="0" xfId="0"/>
    <xf numFmtId="165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2026 MRR Growth &amp; Revenue Waterfall Breakdown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'Interactive_Model'!H4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'Interactive_Model'!$I$4:$L$4</f>
            </numRef>
          </val>
        </ser>
        <ser>
          <idx val="1"/>
          <order val="1"/>
          <tx>
            <strRef>
              <f>'Interactive_Model'!H5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'Interactive_Model'!$I$5:$L$5</f>
            </numRef>
          </val>
        </ser>
        <ser>
          <idx val="2"/>
          <order val="2"/>
          <tx>
            <strRef>
              <f>'Interactive_Model'!H6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'Interactive_Model'!$I$6:$L$6</f>
            </numRef>
          </val>
        </ser>
        <ser>
          <idx val="3"/>
          <order val="3"/>
          <tx>
            <strRef>
              <f>'Interactive_Model'!H7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'Interactive_Model'!$I$7:$L$7</f>
            </numRef>
          </val>
        </ser>
        <ser>
          <idx val="4"/>
          <order val="4"/>
          <tx>
            <strRef>
              <f>'Interactive_Model'!H8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'Interactive_Model'!$I$8:$L$8</f>
            </numRef>
          </val>
        </ser>
        <ser>
          <idx val="5"/>
          <order val="5"/>
          <tx>
            <strRef>
              <f>'Interactive_Model'!H9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'Interactive_Model'!$I$9:$L$9</f>
            </numRef>
          </val>
        </ser>
        <ser>
          <idx val="6"/>
          <order val="6"/>
          <tx>
            <strRef>
              <f>'Interactive_Model'!H10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'Interactive_Model'!$I$10:$L$10</f>
            </numRef>
          </val>
        </ser>
        <ser>
          <idx val="7"/>
          <order val="7"/>
          <tx>
            <strRef>
              <f>'Interactive_Model'!H11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'Interactive_Model'!$I$11:$L$11</f>
            </numRef>
          </val>
        </ser>
        <ser>
          <idx val="8"/>
          <order val="8"/>
          <tx>
            <strRef>
              <f>'Interactive_Model'!H12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'Interactive_Model'!$I$12:$L$12</f>
            </numRef>
          </val>
        </ser>
        <ser>
          <idx val="9"/>
          <order val="9"/>
          <tx>
            <strRef>
              <f>'Interactive_Model'!H13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'Interactive_Model'!$I$13:$L$13</f>
            </numRef>
          </val>
        </ser>
        <ser>
          <idx val="10"/>
          <order val="10"/>
          <tx>
            <strRef>
              <f>'Interactive_Model'!H14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'Interactive_Model'!$I$14:$L$14</f>
            </numRef>
          </val>
        </ser>
        <ser>
          <idx val="11"/>
          <order val="11"/>
          <tx>
            <strRef>
              <f>'Interactive_Model'!H15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'Interactive_Model'!$I$15:$L$15</f>
            </numRef>
          </val>
        </ser>
        <ser>
          <idx val="12"/>
          <order val="12"/>
          <tx>
            <strRef>
              <f>'Interactive_Model'!H16</f>
            </strRef>
          </tx>
          <spPr>
            <a:ln xmlns:a="http://schemas.openxmlformats.org/drawingml/2006/main">
              <a:prstDash val="solid"/>
            </a:ln>
          </spPr>
          <cat>
            <numRef>
              <f>'Interactive_Model'!$C$4:$N$4</f>
            </numRef>
          </cat>
          <val>
            <numRef>
              <f>'Interactive_Model'!$I$16:$L$16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1" workbookViewId="0">
      <selection activeCell="A1" sqref="A1"/>
    </sheetView>
  </sheetViews>
  <sheetFormatPr baseColWidth="8" defaultRowHeight="15"/>
  <cols>
    <col width="99" customWidth="1" min="1" max="1"/>
    <col width="43" customWidth="1" min="2" max="2"/>
    <col width="43" customWidth="1" min="3" max="3"/>
    <col width="43" customWidth="1" min="4" max="4"/>
    <col width="43" customWidth="1" min="5" max="5"/>
    <col width="30" customWidth="1" min="6" max="6"/>
    <col width="24" customWidth="1" min="7" max="7"/>
  </cols>
  <sheetData>
    <row r="1">
      <c r="A1" s="1" t="inlineStr">
        <is>
          <t>EXECUTIVE SAAS &amp; BI KPI DASHBOARD</t>
        </is>
      </c>
    </row>
    <row r="2">
      <c r="A2" s="2" t="inlineStr">
        <is>
          <t>Real-Time Metric Tracking, Revenue Waterfall, Cohort Dynamics &amp; Scenario Analysis | Version 2.0</t>
        </is>
      </c>
    </row>
    <row r="3"/>
    <row r="4">
      <c r="A4" s="3" t="inlineStr">
        <is>
          <t>ANNUAL RECURRING REVENUE (ARR)</t>
        </is>
      </c>
      <c r="C4" s="3" t="inlineStr">
        <is>
          <t>NET REVENUE RETENTION (NRR)</t>
        </is>
      </c>
      <c r="E4" s="3" t="inlineStr">
        <is>
          <t>LTV : CAC RATIO</t>
        </is>
      </c>
      <c r="G4" s="3" t="inlineStr">
        <is>
          <t>MAGIC NUMBER</t>
        </is>
      </c>
    </row>
    <row r="5">
      <c r="A5" s="4">
        <f>Interactive_Model!N13</f>
        <v/>
      </c>
      <c r="C5" s="5">
        <f>Interactive_Model!N19</f>
        <v/>
      </c>
      <c r="E5" s="6">
        <f>Interactive_Model!N22</f>
        <v/>
      </c>
      <c r="G5" s="7">
        <f>Interactive_Model!N24</f>
        <v/>
      </c>
    </row>
    <row r="6"/>
    <row r="7"/>
    <row r="8">
      <c r="A8" s="8" t="inlineStr">
        <is>
          <t>12-MONTH PERFORMANCE HIGHLIGHTS</t>
        </is>
      </c>
    </row>
    <row r="9">
      <c r="A9" s="9" t="inlineStr">
        <is>
          <t>Metric Category</t>
        </is>
      </c>
      <c r="B9" s="9" t="inlineStr">
        <is>
          <t>Q1 Total</t>
        </is>
      </c>
      <c r="C9" s="9" t="inlineStr">
        <is>
          <t>Q2 Total</t>
        </is>
      </c>
      <c r="D9" s="9" t="inlineStr">
        <is>
          <t>Q3 Total</t>
        </is>
      </c>
      <c r="E9" s="9" t="inlineStr">
        <is>
          <t>Q4 Total</t>
        </is>
      </c>
      <c r="F9" s="9" t="inlineStr">
        <is>
          <t>Full Year 2026</t>
        </is>
      </c>
      <c r="G9" s="9" t="inlineStr">
        <is>
          <t>YoY Benchmark Target</t>
        </is>
      </c>
    </row>
    <row r="10">
      <c r="A10" s="10" t="inlineStr">
        <is>
          <t>Gross New MRR Added</t>
        </is>
      </c>
      <c r="B10" s="11">
        <f>SUM(Interactive_Model!C8:E8)</f>
        <v/>
      </c>
      <c r="C10" s="11">
        <f>SUM(Interactive_Model!F8:H8)</f>
        <v/>
      </c>
      <c r="D10" s="11">
        <f>SUM(Interactive_Model!I8:K8)</f>
        <v/>
      </c>
      <c r="E10" s="11">
        <f>SUM(Interactive_Model!L8:N8)</f>
        <v/>
      </c>
      <c r="F10" s="11">
        <f>SUM(B10:E10)</f>
        <v/>
      </c>
      <c r="G10" s="12" t="inlineStr">
        <is>
          <t>$250,000</t>
        </is>
      </c>
    </row>
    <row r="11">
      <c r="A11" s="13" t="inlineStr">
        <is>
          <t>Expansion MRR</t>
        </is>
      </c>
      <c r="B11" s="14">
        <f>SUM(Interactive_Model!C9:E9)</f>
        <v/>
      </c>
      <c r="C11" s="14">
        <f>SUM(Interactive_Model!F9:H9)</f>
        <v/>
      </c>
      <c r="D11" s="14">
        <f>SUM(Interactive_Model!I9:K9)</f>
        <v/>
      </c>
      <c r="E11" s="14">
        <f>SUM(Interactive_Model!L9:N9)</f>
        <v/>
      </c>
      <c r="F11" s="14">
        <f>SUM(B11:E11)</f>
        <v/>
      </c>
      <c r="G11" s="15" t="inlineStr">
        <is>
          <t>$120,000</t>
        </is>
      </c>
    </row>
    <row r="12">
      <c r="A12" s="10" t="inlineStr">
        <is>
          <t>Churned MRR (Loss)</t>
        </is>
      </c>
      <c r="B12" s="11">
        <f>SUM(Interactive_Model!C11:E11)</f>
        <v/>
      </c>
      <c r="C12" s="11">
        <f>SUM(Interactive_Model!F11:H11)</f>
        <v/>
      </c>
      <c r="D12" s="11">
        <f>SUM(Interactive_Model!I11:K11)</f>
        <v/>
      </c>
      <c r="E12" s="11">
        <f>SUM(Interactive_Model!L11:N11)</f>
        <v/>
      </c>
      <c r="F12" s="11">
        <f>SUM(B12:E12)</f>
        <v/>
      </c>
      <c r="G12" s="12" t="inlineStr">
        <is>
          <t>($40,000)</t>
        </is>
      </c>
    </row>
    <row r="13">
      <c r="A13" s="13" t="inlineStr">
        <is>
          <t>Net New MRR Growth</t>
        </is>
      </c>
      <c r="B13" s="14">
        <f>SUM(Interactive_Model!C12:E12)</f>
        <v/>
      </c>
      <c r="C13" s="14">
        <f>SUM(Interactive_Model!F12:H12)</f>
        <v/>
      </c>
      <c r="D13" s="14">
        <f>SUM(Interactive_Model!I12:K12)</f>
        <v/>
      </c>
      <c r="E13" s="14">
        <f>SUM(Interactive_Model!L12:N12)</f>
        <v/>
      </c>
      <c r="F13" s="14">
        <f>SUM(B13:E13)</f>
        <v/>
      </c>
      <c r="G13" s="15" t="inlineStr">
        <is>
          <t>$330,000</t>
        </is>
      </c>
    </row>
    <row r="14">
      <c r="A14" s="16" t="inlineStr">
        <is>
          <t>Ending MRR</t>
        </is>
      </c>
      <c r="B14" s="17">
        <f>Interactive_Model!E13</f>
        <v/>
      </c>
      <c r="C14" s="17">
        <f>Interactive_Model!H13</f>
        <v/>
      </c>
      <c r="D14" s="17">
        <f>Interactive_Model!K13</f>
        <v/>
      </c>
      <c r="E14" s="17">
        <f>Interactive_Model!N13</f>
        <v/>
      </c>
      <c r="F14" s="17">
        <f>Interactive_Model!N13</f>
        <v/>
      </c>
      <c r="G14" s="18" t="inlineStr">
        <is>
          <t>$450,000</t>
        </is>
      </c>
    </row>
    <row r="15">
      <c r="A15" s="13" t="inlineStr">
        <is>
          <t>Average Logo Churn Rate</t>
        </is>
      </c>
      <c r="B15" s="19">
        <f>AVERAGE(Interactive_Model!C18:E18)</f>
        <v/>
      </c>
      <c r="C15" s="19">
        <f>AVERAGE(Interactive_Model!F18:H18)</f>
        <v/>
      </c>
      <c r="D15" s="19">
        <f>AVERAGE(Interactive_Model!I18:K18)</f>
        <v/>
      </c>
      <c r="E15" s="19">
        <f>AVERAGE(Interactive_Model!L18:N18)</f>
        <v/>
      </c>
      <c r="F15" s="19">
        <f>AVERAGE(B15:E15)</f>
        <v/>
      </c>
      <c r="G15" s="15" t="inlineStr">
        <is>
          <t>&lt; 1.5%</t>
        </is>
      </c>
    </row>
    <row r="16">
      <c r="A16" s="10" t="inlineStr">
        <is>
          <t>Blended CAC</t>
        </is>
      </c>
      <c r="B16" s="11">
        <f>AVERAGE(Interactive_Model!C20:E20)</f>
        <v/>
      </c>
      <c r="C16" s="11">
        <f>AVERAGE(Interactive_Model!F20:H20)</f>
        <v/>
      </c>
      <c r="D16" s="11">
        <f>AVERAGE(Interactive_Model!I20:K20)</f>
        <v/>
      </c>
      <c r="E16" s="11">
        <f>AVERAGE(Interactive_Model!L20:N20)</f>
        <v/>
      </c>
      <c r="F16" s="11">
        <f>AVERAGE(B16:E16)</f>
        <v/>
      </c>
      <c r="G16" s="12" t="inlineStr">
        <is>
          <t>$4,500</t>
        </is>
      </c>
    </row>
  </sheetData>
  <mergeCells count="9">
    <mergeCell ref="A4:B4"/>
    <mergeCell ref="E4:F4"/>
    <mergeCell ref="G4"/>
    <mergeCell ref="A8:G8"/>
    <mergeCell ref="C5:D5"/>
    <mergeCell ref="A5:B5"/>
    <mergeCell ref="E5:F5"/>
    <mergeCell ref="G5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5"/>
  <sheetViews>
    <sheetView showGridLines="1" workbookViewId="0">
      <selection activeCell="A1" sqref="A1"/>
    </sheetView>
  </sheetViews>
  <sheetFormatPr baseColWidth="8" defaultRowHeight="15"/>
  <cols>
    <col width="57" customWidth="1" min="1" max="1"/>
    <col width="24" customWidth="1" min="2" max="2"/>
    <col width="41" customWidth="1" min="3" max="3"/>
    <col width="41" customWidth="1" min="4" max="4"/>
    <col width="41" customWidth="1" min="5" max="5"/>
    <col width="41" customWidth="1" min="6" max="6"/>
    <col width="41" customWidth="1" min="7" max="7"/>
    <col width="41" customWidth="1" min="8" max="8"/>
    <col width="41" customWidth="1" min="9" max="9"/>
    <col width="41" customWidth="1" min="10" max="10"/>
    <col width="41" customWidth="1" min="11" max="11"/>
    <col width="41" customWidth="1" min="12" max="12"/>
    <col width="41" customWidth="1" min="13" max="13"/>
    <col width="41" customWidth="1" min="14" max="14"/>
    <col width="25" customWidth="1" min="15" max="15"/>
  </cols>
  <sheetData>
    <row r="1">
      <c r="A1" s="1" t="inlineStr">
        <is>
          <t>2026 DETAILED SAAS METRICS &amp; REVENUE WATERFALL ENGINE</t>
        </is>
      </c>
    </row>
    <row r="2"/>
    <row r="3"/>
    <row r="4">
      <c r="A4" s="20" t="inlineStr">
        <is>
          <t>Line Item / Metric</t>
        </is>
      </c>
      <c r="B4" s="20" t="inlineStr">
        <is>
          <t>Metric Type</t>
        </is>
      </c>
      <c r="C4" s="21" t="inlineStr">
        <is>
          <t>Jan 26</t>
        </is>
      </c>
      <c r="D4" s="21" t="inlineStr">
        <is>
          <t>Feb 26</t>
        </is>
      </c>
      <c r="E4" s="21" t="inlineStr">
        <is>
          <t>Mar 26</t>
        </is>
      </c>
      <c r="F4" s="21" t="inlineStr">
        <is>
          <t>Apr 26</t>
        </is>
      </c>
      <c r="G4" s="21" t="inlineStr">
        <is>
          <t>May 26</t>
        </is>
      </c>
      <c r="H4" s="21" t="inlineStr">
        <is>
          <t>Jun 26</t>
        </is>
      </c>
      <c r="I4" s="21" t="inlineStr">
        <is>
          <t>Jul 26</t>
        </is>
      </c>
      <c r="J4" s="21" t="inlineStr">
        <is>
          <t>Aug 26</t>
        </is>
      </c>
      <c r="K4" s="21" t="inlineStr">
        <is>
          <t>Sep 26</t>
        </is>
      </c>
      <c r="L4" s="21" t="inlineStr">
        <is>
          <t>Oct 26</t>
        </is>
      </c>
      <c r="M4" s="21" t="inlineStr">
        <is>
          <t>Nov 26</t>
        </is>
      </c>
      <c r="N4" s="21" t="inlineStr">
        <is>
          <t>Dec 26</t>
        </is>
      </c>
      <c r="O4" s="21" t="inlineStr">
        <is>
          <t>Full Year Total / Avg</t>
        </is>
      </c>
    </row>
    <row r="5">
      <c r="A5" s="22" t="inlineStr">
        <is>
          <t>Starting MRR</t>
        </is>
      </c>
      <c r="B5" s="23" t="inlineStr">
        <is>
          <t>Base Input / Prior</t>
        </is>
      </c>
      <c r="C5" s="24" t="n">
        <v>150000</v>
      </c>
      <c r="D5" s="25">
        <f>C13</f>
        <v/>
      </c>
      <c r="E5" s="25">
        <f>D13</f>
        <v/>
      </c>
      <c r="F5" s="25">
        <f>E13</f>
        <v/>
      </c>
      <c r="G5" s="25">
        <f>F13</f>
        <v/>
      </c>
      <c r="H5" s="25">
        <f>G13</f>
        <v/>
      </c>
      <c r="I5" s="25">
        <f>H13</f>
        <v/>
      </c>
      <c r="J5" s="25">
        <f>I13</f>
        <v/>
      </c>
      <c r="K5" s="25">
        <f>J13</f>
        <v/>
      </c>
      <c r="L5" s="25">
        <f>K13</f>
        <v/>
      </c>
      <c r="M5" s="25">
        <f>L13</f>
        <v/>
      </c>
      <c r="N5" s="25">
        <f>M13</f>
        <v/>
      </c>
      <c r="O5" s="26">
        <f>C5</f>
        <v/>
      </c>
    </row>
    <row r="6">
      <c r="A6" s="22" t="inlineStr">
        <is>
          <t>New Logos Acquired</t>
        </is>
      </c>
      <c r="B6" s="23" t="inlineStr">
        <is>
          <t>Operational Input</t>
        </is>
      </c>
      <c r="C6" s="27" t="n">
        <v>18</v>
      </c>
      <c r="D6" s="27" t="n">
        <v>22</v>
      </c>
      <c r="E6" s="27" t="n">
        <v>25</v>
      </c>
      <c r="F6" s="27" t="n">
        <v>28</v>
      </c>
      <c r="G6" s="27" t="n">
        <v>30</v>
      </c>
      <c r="H6" s="27" t="n">
        <v>35</v>
      </c>
      <c r="I6" s="27" t="n">
        <v>38</v>
      </c>
      <c r="J6" s="27" t="n">
        <v>42</v>
      </c>
      <c r="K6" s="27" t="n">
        <v>45</v>
      </c>
      <c r="L6" s="27" t="n">
        <v>50</v>
      </c>
      <c r="M6" s="27" t="n">
        <v>55</v>
      </c>
      <c r="N6" s="27" t="n">
        <v>60</v>
      </c>
      <c r="O6" s="28">
        <f>SUM(C6:N6)</f>
        <v/>
      </c>
    </row>
    <row r="7">
      <c r="A7" s="29" t="inlineStr">
        <is>
          <t>Average ACV / 12 (Monthly)</t>
        </is>
      </c>
      <c r="B7" s="23" t="inlineStr">
        <is>
          <t>Assumed ARPU</t>
        </is>
      </c>
      <c r="C7" s="30" t="n">
        <v>2500</v>
      </c>
      <c r="D7" s="30" t="n">
        <v>2500</v>
      </c>
      <c r="E7" s="30" t="n">
        <v>2500</v>
      </c>
      <c r="F7" s="30" t="n">
        <v>2500</v>
      </c>
      <c r="G7" s="30" t="n">
        <v>2500</v>
      </c>
      <c r="H7" s="30" t="n">
        <v>2500</v>
      </c>
      <c r="I7" s="30" t="n">
        <v>2500</v>
      </c>
      <c r="J7" s="30" t="n">
        <v>2500</v>
      </c>
      <c r="K7" s="30" t="n">
        <v>2500</v>
      </c>
      <c r="L7" s="30" t="n">
        <v>2500</v>
      </c>
      <c r="M7" s="30" t="n">
        <v>2500</v>
      </c>
      <c r="N7" s="30" t="n">
        <v>2500</v>
      </c>
      <c r="O7" s="26">
        <f>AVERAGE(C7:N7)</f>
        <v/>
      </c>
    </row>
    <row r="8">
      <c r="A8" s="22" t="inlineStr">
        <is>
          <t>New MRR Added</t>
        </is>
      </c>
      <c r="B8" s="23" t="inlineStr">
        <is>
          <t>Calculated Formula</t>
        </is>
      </c>
      <c r="C8" s="31">
        <f>C6*C7</f>
        <v/>
      </c>
      <c r="D8" s="31">
        <f>D6*D7</f>
        <v/>
      </c>
      <c r="E8" s="31">
        <f>E6*E7</f>
        <v/>
      </c>
      <c r="F8" s="31">
        <f>F6*F7</f>
        <v/>
      </c>
      <c r="G8" s="31">
        <f>G6*G7</f>
        <v/>
      </c>
      <c r="H8" s="31">
        <f>H6*H7</f>
        <v/>
      </c>
      <c r="I8" s="31">
        <f>I6*I7</f>
        <v/>
      </c>
      <c r="J8" s="31">
        <f>J6*J7</f>
        <v/>
      </c>
      <c r="K8" s="31">
        <f>K6*K7</f>
        <v/>
      </c>
      <c r="L8" s="31">
        <f>L6*L7</f>
        <v/>
      </c>
      <c r="M8" s="31">
        <f>M6*M7</f>
        <v/>
      </c>
      <c r="N8" s="31">
        <f>N6*N7</f>
        <v/>
      </c>
      <c r="O8" s="26">
        <f>SUM(C8:N8)</f>
        <v/>
      </c>
    </row>
    <row r="9">
      <c r="A9" s="29" t="inlineStr">
        <is>
          <t>Expansion MRR</t>
        </is>
      </c>
      <c r="B9" s="23" t="inlineStr">
        <is>
          <t>Calculated Formula</t>
        </is>
      </c>
      <c r="C9" s="31">
        <f>C5*0.035</f>
        <v/>
      </c>
      <c r="D9" s="31">
        <f>D5*0.035</f>
        <v/>
      </c>
      <c r="E9" s="31">
        <f>E5*0.035</f>
        <v/>
      </c>
      <c r="F9" s="31">
        <f>F5*0.035</f>
        <v/>
      </c>
      <c r="G9" s="31">
        <f>G5*0.035</f>
        <v/>
      </c>
      <c r="H9" s="31">
        <f>H5*0.035</f>
        <v/>
      </c>
      <c r="I9" s="31">
        <f>I5*0.035</f>
        <v/>
      </c>
      <c r="J9" s="31">
        <f>J5*0.035</f>
        <v/>
      </c>
      <c r="K9" s="31">
        <f>K5*0.035</f>
        <v/>
      </c>
      <c r="L9" s="31">
        <f>L5*0.035</f>
        <v/>
      </c>
      <c r="M9" s="31">
        <f>M5*0.035</f>
        <v/>
      </c>
      <c r="N9" s="31">
        <f>N5*0.035</f>
        <v/>
      </c>
      <c r="O9" s="26">
        <f>SUM(C9:N9)</f>
        <v/>
      </c>
    </row>
    <row r="10">
      <c r="A10" s="29" t="inlineStr">
        <is>
          <t>Contraction MRR</t>
        </is>
      </c>
      <c r="B10" s="23" t="inlineStr">
        <is>
          <t>Calculated Formula</t>
        </is>
      </c>
      <c r="C10" s="31">
        <f>-(C5*0.012)</f>
        <v/>
      </c>
      <c r="D10" s="31">
        <f>-(D5*0.012)</f>
        <v/>
      </c>
      <c r="E10" s="31">
        <f>-(E5*0.012)</f>
        <v/>
      </c>
      <c r="F10" s="31">
        <f>-(F5*0.012)</f>
        <v/>
      </c>
      <c r="G10" s="31">
        <f>-(G5*0.012)</f>
        <v/>
      </c>
      <c r="H10" s="31">
        <f>-(H5*0.012)</f>
        <v/>
      </c>
      <c r="I10" s="31">
        <f>-(I5*0.012)</f>
        <v/>
      </c>
      <c r="J10" s="31">
        <f>-(J5*0.012)</f>
        <v/>
      </c>
      <c r="K10" s="31">
        <f>-(K5*0.012)</f>
        <v/>
      </c>
      <c r="L10" s="31">
        <f>-(L5*0.012)</f>
        <v/>
      </c>
      <c r="M10" s="31">
        <f>-(M5*0.012)</f>
        <v/>
      </c>
      <c r="N10" s="31">
        <f>-(N5*0.012)</f>
        <v/>
      </c>
      <c r="O10" s="26">
        <f>SUM(C10:N10)</f>
        <v/>
      </c>
    </row>
    <row r="11">
      <c r="A11" s="29" t="inlineStr">
        <is>
          <t>Churned MRR</t>
        </is>
      </c>
      <c r="B11" s="23" t="inlineStr">
        <is>
          <t>Calculated Formula</t>
        </is>
      </c>
      <c r="C11" s="31">
        <f>-(C5*0.018)</f>
        <v/>
      </c>
      <c r="D11" s="31">
        <f>-(D5*0.018)</f>
        <v/>
      </c>
      <c r="E11" s="31">
        <f>-(E5*0.018)</f>
        <v/>
      </c>
      <c r="F11" s="31">
        <f>-(F5*0.018)</f>
        <v/>
      </c>
      <c r="G11" s="31">
        <f>-(G5*0.018)</f>
        <v/>
      </c>
      <c r="H11" s="31">
        <f>-(H5*0.018)</f>
        <v/>
      </c>
      <c r="I11" s="31">
        <f>-(I5*0.018)</f>
        <v/>
      </c>
      <c r="J11" s="31">
        <f>-(J5*0.018)</f>
        <v/>
      </c>
      <c r="K11" s="31">
        <f>-(K5*0.018)</f>
        <v/>
      </c>
      <c r="L11" s="31">
        <f>-(L5*0.018)</f>
        <v/>
      </c>
      <c r="M11" s="31">
        <f>-(M5*0.018)</f>
        <v/>
      </c>
      <c r="N11" s="31">
        <f>-(N5*0.018)</f>
        <v/>
      </c>
      <c r="O11" s="26">
        <f>SUM(C11:N11)</f>
        <v/>
      </c>
    </row>
    <row r="12">
      <c r="A12" s="22" t="inlineStr">
        <is>
          <t>Net New MRR</t>
        </is>
      </c>
      <c r="B12" s="23" t="inlineStr">
        <is>
          <t>Subtotal Formula</t>
        </is>
      </c>
      <c r="C12" s="32">
        <f>SUM(C8:C11)</f>
        <v/>
      </c>
      <c r="D12" s="32">
        <f>SUM(D8:D11)</f>
        <v/>
      </c>
      <c r="E12" s="32">
        <f>SUM(E8:E11)</f>
        <v/>
      </c>
      <c r="F12" s="32">
        <f>SUM(F8:F11)</f>
        <v/>
      </c>
      <c r="G12" s="32">
        <f>SUM(G8:G11)</f>
        <v/>
      </c>
      <c r="H12" s="32">
        <f>SUM(H8:H11)</f>
        <v/>
      </c>
      <c r="I12" s="32">
        <f>SUM(I8:I11)</f>
        <v/>
      </c>
      <c r="J12" s="32">
        <f>SUM(J8:J11)</f>
        <v/>
      </c>
      <c r="K12" s="32">
        <f>SUM(K8:K11)</f>
        <v/>
      </c>
      <c r="L12" s="32">
        <f>SUM(L8:L11)</f>
        <v/>
      </c>
      <c r="M12" s="32">
        <f>SUM(M8:M11)</f>
        <v/>
      </c>
      <c r="N12" s="32">
        <f>SUM(N8:N11)</f>
        <v/>
      </c>
      <c r="O12" s="26">
        <f>SUM(C12:N12)</f>
        <v/>
      </c>
    </row>
    <row r="13">
      <c r="A13" s="22" t="inlineStr">
        <is>
          <t>Ending MRR</t>
        </is>
      </c>
      <c r="B13" s="23" t="inlineStr">
        <is>
          <t>Total Formula</t>
        </is>
      </c>
      <c r="C13" s="33">
        <f>C5+C12</f>
        <v/>
      </c>
      <c r="D13" s="33">
        <f>D5+D12</f>
        <v/>
      </c>
      <c r="E13" s="33">
        <f>E5+E12</f>
        <v/>
      </c>
      <c r="F13" s="33">
        <f>F5+F12</f>
        <v/>
      </c>
      <c r="G13" s="33">
        <f>G5+G12</f>
        <v/>
      </c>
      <c r="H13" s="33">
        <f>H5+H12</f>
        <v/>
      </c>
      <c r="I13" s="33">
        <f>I5+I12</f>
        <v/>
      </c>
      <c r="J13" s="33">
        <f>J5+J12</f>
        <v/>
      </c>
      <c r="K13" s="33">
        <f>K5+K12</f>
        <v/>
      </c>
      <c r="L13" s="33">
        <f>L5+L12</f>
        <v/>
      </c>
      <c r="M13" s="33">
        <f>M5+M12</f>
        <v/>
      </c>
      <c r="N13" s="33">
        <f>N5+N12</f>
        <v/>
      </c>
      <c r="O13" s="34">
        <f>N13</f>
        <v/>
      </c>
    </row>
    <row r="14">
      <c r="A14" s="35" t="n"/>
      <c r="B14" s="35" t="n"/>
      <c r="C14" s="35" t="n"/>
      <c r="D14" s="35" t="n"/>
      <c r="E14" s="35" t="n"/>
      <c r="F14" s="35" t="n"/>
      <c r="G14" s="35" t="n"/>
      <c r="H14" s="35" t="n"/>
      <c r="I14" s="35" t="n"/>
      <c r="J14" s="35" t="n"/>
      <c r="K14" s="35" t="n"/>
      <c r="L14" s="35" t="n"/>
      <c r="M14" s="35" t="n"/>
      <c r="N14" s="35" t="n"/>
      <c r="O14" s="35" t="n"/>
    </row>
    <row r="15">
      <c r="A15" s="35" t="n"/>
      <c r="B15" s="35" t="n"/>
      <c r="C15" s="35" t="n"/>
      <c r="D15" s="35" t="n"/>
      <c r="E15" s="35" t="n"/>
      <c r="F15" s="35" t="n"/>
      <c r="G15" s="35" t="n"/>
      <c r="H15" s="35" t="n"/>
      <c r="I15" s="35" t="n"/>
      <c r="J15" s="35" t="n"/>
      <c r="K15" s="35" t="n"/>
      <c r="L15" s="35" t="n"/>
      <c r="M15" s="35" t="n"/>
      <c r="N15" s="35" t="n"/>
      <c r="O15" s="35" t="n"/>
    </row>
    <row r="16">
      <c r="A16" s="20" t="inlineStr">
        <is>
          <t>UNIT ECONOMICS &amp; EFFICIENCY METRICS</t>
        </is>
      </c>
      <c r="B16" s="35" t="n"/>
      <c r="C16" s="35" t="n"/>
      <c r="D16" s="35" t="n"/>
      <c r="E16" s="35" t="n"/>
      <c r="F16" s="35" t="n"/>
      <c r="G16" s="35" t="n"/>
      <c r="H16" s="35" t="n"/>
      <c r="I16" s="35" t="n"/>
      <c r="J16" s="35" t="n"/>
      <c r="K16" s="35" t="n"/>
      <c r="L16" s="35" t="n"/>
      <c r="M16" s="35" t="n"/>
      <c r="N16" s="35" t="n"/>
      <c r="O16" s="35" t="n"/>
    </row>
    <row r="17">
      <c r="A17" s="22" t="inlineStr">
        <is>
          <t>Gross Margin %</t>
        </is>
      </c>
      <c r="B17" s="23" t="inlineStr">
        <is>
          <t>Input Ratio</t>
        </is>
      </c>
      <c r="C17" s="36" t="n">
        <v>0.82</v>
      </c>
      <c r="D17" s="36" t="n">
        <v>0.82</v>
      </c>
      <c r="E17" s="36" t="n">
        <v>0.82</v>
      </c>
      <c r="F17" s="36" t="n">
        <v>0.82</v>
      </c>
      <c r="G17" s="36" t="n">
        <v>0.82</v>
      </c>
      <c r="H17" s="36" t="n">
        <v>0.82</v>
      </c>
      <c r="I17" s="36" t="n">
        <v>0.82</v>
      </c>
      <c r="J17" s="36" t="n">
        <v>0.82</v>
      </c>
      <c r="K17" s="36" t="n">
        <v>0.82</v>
      </c>
      <c r="L17" s="36" t="n">
        <v>0.82</v>
      </c>
      <c r="M17" s="36" t="n">
        <v>0.82</v>
      </c>
      <c r="N17" s="36" t="n">
        <v>0.82</v>
      </c>
      <c r="O17" s="37">
        <f>AVERAGE(C17:N17)</f>
        <v/>
      </c>
    </row>
    <row r="18">
      <c r="A18" s="22" t="inlineStr">
        <is>
          <t>Logo Churn Rate %</t>
        </is>
      </c>
      <c r="B18" s="23" t="inlineStr">
        <is>
          <t>Input Ratio</t>
        </is>
      </c>
      <c r="C18" s="36" t="n">
        <v>0.018</v>
      </c>
      <c r="D18" s="36" t="n">
        <v>0.018</v>
      </c>
      <c r="E18" s="36" t="n">
        <v>0.018</v>
      </c>
      <c r="F18" s="36" t="n">
        <v>0.018</v>
      </c>
      <c r="G18" s="36" t="n">
        <v>0.018</v>
      </c>
      <c r="H18" s="36" t="n">
        <v>0.018</v>
      </c>
      <c r="I18" s="36" t="n">
        <v>0.018</v>
      </c>
      <c r="J18" s="36" t="n">
        <v>0.018</v>
      </c>
      <c r="K18" s="36" t="n">
        <v>0.018</v>
      </c>
      <c r="L18" s="36" t="n">
        <v>0.018</v>
      </c>
      <c r="M18" s="36" t="n">
        <v>0.018</v>
      </c>
      <c r="N18" s="36" t="n">
        <v>0.018</v>
      </c>
      <c r="O18" s="37">
        <f>AVERAGE(C18:N18)</f>
        <v/>
      </c>
    </row>
    <row r="19">
      <c r="A19" s="22" t="inlineStr">
        <is>
          <t>Net Revenue Retention (NRR)</t>
        </is>
      </c>
      <c r="B19" s="23" t="inlineStr">
        <is>
          <t>Calculated</t>
        </is>
      </c>
      <c r="C19" s="38">
        <f>IFERROR(((C5+C9+C10+C11)/C5), 0)</f>
        <v/>
      </c>
      <c r="D19" s="38">
        <f>IFERROR(((D5+D9+D10+D11)/D5), 0)</f>
        <v/>
      </c>
      <c r="E19" s="38">
        <f>IFERROR(((E5+E9+E10+E11)/E5), 0)</f>
        <v/>
      </c>
      <c r="F19" s="38">
        <f>IFERROR(((F5+F9+F10+F11)/F5), 0)</f>
        <v/>
      </c>
      <c r="G19" s="38">
        <f>IFERROR(((G5+G9+G10+G11)/G5), 0)</f>
        <v/>
      </c>
      <c r="H19" s="38">
        <f>IFERROR(((H5+H9+H10+H11)/H5), 0)</f>
        <v/>
      </c>
      <c r="I19" s="38">
        <f>IFERROR(((I5+I9+I10+I11)/I5), 0)</f>
        <v/>
      </c>
      <c r="J19" s="38">
        <f>IFERROR(((J5+J9+J10+J11)/J5), 0)</f>
        <v/>
      </c>
      <c r="K19" s="38">
        <f>IFERROR(((K5+K9+K10+K11)/K5), 0)</f>
        <v/>
      </c>
      <c r="L19" s="38">
        <f>IFERROR(((L5+L9+L10+L11)/L5), 0)</f>
        <v/>
      </c>
      <c r="M19" s="38">
        <f>IFERROR(((M5+M9+M10+M11)/M5), 0)</f>
        <v/>
      </c>
      <c r="N19" s="38">
        <f>IFERROR(((N5+N9+N10+N11)/N5), 0)</f>
        <v/>
      </c>
      <c r="O19" s="37">
        <f>AVERAGE(C19:N19)</f>
        <v/>
      </c>
    </row>
    <row r="20">
      <c r="A20" s="22" t="inlineStr">
        <is>
          <t>CAC Spent ($ Total)</t>
        </is>
      </c>
      <c r="B20" s="23" t="inlineStr">
        <is>
          <t>Expense Input</t>
        </is>
      </c>
      <c r="C20" s="30" t="n">
        <v>110000</v>
      </c>
      <c r="D20" s="30" t="n">
        <v>125000</v>
      </c>
      <c r="E20" s="30" t="n">
        <v>135000</v>
      </c>
      <c r="F20" s="30" t="n">
        <v>140000</v>
      </c>
      <c r="G20" s="30" t="n">
        <v>150000</v>
      </c>
      <c r="H20" s="30" t="n">
        <v>160000</v>
      </c>
      <c r="I20" s="30" t="n">
        <v>170000</v>
      </c>
      <c r="J20" s="30" t="n">
        <v>180000</v>
      </c>
      <c r="K20" s="30" t="n">
        <v>190000</v>
      </c>
      <c r="L20" s="30" t="n">
        <v>200000</v>
      </c>
      <c r="M20" s="30" t="n">
        <v>210000</v>
      </c>
      <c r="N20" s="30" t="n">
        <v>220000</v>
      </c>
      <c r="O20" s="39">
        <f>SUM(C20:N20)</f>
        <v/>
      </c>
    </row>
    <row r="21">
      <c r="A21" s="22" t="inlineStr">
        <is>
          <t>Customer Acquisition Cost (CAC)</t>
        </is>
      </c>
      <c r="B21" s="23" t="inlineStr">
        <is>
          <t>Calculated</t>
        </is>
      </c>
      <c r="C21" s="31">
        <f>IFERROR(C20/C6, 0)</f>
        <v/>
      </c>
      <c r="D21" s="31">
        <f>IFERROR(D20/D6, 0)</f>
        <v/>
      </c>
      <c r="E21" s="31">
        <f>IFERROR(E20/E6, 0)</f>
        <v/>
      </c>
      <c r="F21" s="31">
        <f>IFERROR(F20/F6, 0)</f>
        <v/>
      </c>
      <c r="G21" s="31">
        <f>IFERROR(G20/G6, 0)</f>
        <v/>
      </c>
      <c r="H21" s="31">
        <f>IFERROR(H20/H6, 0)</f>
        <v/>
      </c>
      <c r="I21" s="31">
        <f>IFERROR(I20/I6, 0)</f>
        <v/>
      </c>
      <c r="J21" s="31">
        <f>IFERROR(J20/J6, 0)</f>
        <v/>
      </c>
      <c r="K21" s="31">
        <f>IFERROR(K20/K6, 0)</f>
        <v/>
      </c>
      <c r="L21" s="31">
        <f>IFERROR(L20/L6, 0)</f>
        <v/>
      </c>
      <c r="M21" s="31">
        <f>IFERROR(M20/M6, 0)</f>
        <v/>
      </c>
      <c r="N21" s="31">
        <f>IFERROR(N20/N6, 0)</f>
        <v/>
      </c>
      <c r="O21" s="39">
        <f>SUM(C21:N21)</f>
        <v/>
      </c>
    </row>
    <row r="22">
      <c r="A22" s="22" t="inlineStr">
        <is>
          <t>Customer Lifetime Value (LTV)</t>
        </is>
      </c>
      <c r="B22" s="23" t="inlineStr">
        <is>
          <t>Calculated</t>
        </is>
      </c>
      <c r="C22" s="31">
        <f>IFERROR((C7*C17)/C18, 0)</f>
        <v/>
      </c>
      <c r="D22" s="31">
        <f>IFERROR((D7*D17)/D18, 0)</f>
        <v/>
      </c>
      <c r="E22" s="31">
        <f>IFERROR((E7*E17)/E18, 0)</f>
        <v/>
      </c>
      <c r="F22" s="31">
        <f>IFERROR((F7*F17)/F18, 0)</f>
        <v/>
      </c>
      <c r="G22" s="31">
        <f>IFERROR((G7*G17)/G18, 0)</f>
        <v/>
      </c>
      <c r="H22" s="31">
        <f>IFERROR((H7*H17)/H18, 0)</f>
        <v/>
      </c>
      <c r="I22" s="31">
        <f>IFERROR((I7*I17)/I18, 0)</f>
        <v/>
      </c>
      <c r="J22" s="31">
        <f>IFERROR((J7*J17)/J18, 0)</f>
        <v/>
      </c>
      <c r="K22" s="31">
        <f>IFERROR((K7*K17)/K18, 0)</f>
        <v/>
      </c>
      <c r="L22" s="31">
        <f>IFERROR((L7*L17)/L18, 0)</f>
        <v/>
      </c>
      <c r="M22" s="31">
        <f>IFERROR((M7*M17)/M18, 0)</f>
        <v/>
      </c>
      <c r="N22" s="31">
        <f>IFERROR((N7*N17)/N18, 0)</f>
        <v/>
      </c>
      <c r="O22" s="39">
        <f>SUM(C22:N22)</f>
        <v/>
      </c>
    </row>
    <row r="23">
      <c r="A23" s="22" t="inlineStr">
        <is>
          <t>LTV : CAC Ratio</t>
        </is>
      </c>
      <c r="B23" s="23" t="inlineStr">
        <is>
          <t>Calculated Ratio</t>
        </is>
      </c>
      <c r="C23" s="40">
        <f>IFERROR(C22/C21, 0)</f>
        <v/>
      </c>
      <c r="D23" s="40">
        <f>IFERROR(D22/D21, 0)</f>
        <v/>
      </c>
      <c r="E23" s="40">
        <f>IFERROR(E22/E21, 0)</f>
        <v/>
      </c>
      <c r="F23" s="40">
        <f>IFERROR(F22/F21, 0)</f>
        <v/>
      </c>
      <c r="G23" s="40">
        <f>IFERROR(G22/G21, 0)</f>
        <v/>
      </c>
      <c r="H23" s="40">
        <f>IFERROR(H22/H21, 0)</f>
        <v/>
      </c>
      <c r="I23" s="40">
        <f>IFERROR(I22/I21, 0)</f>
        <v/>
      </c>
      <c r="J23" s="40">
        <f>IFERROR(J22/J21, 0)</f>
        <v/>
      </c>
      <c r="K23" s="40">
        <f>IFERROR(K22/K21, 0)</f>
        <v/>
      </c>
      <c r="L23" s="40">
        <f>IFERROR(L22/L21, 0)</f>
        <v/>
      </c>
      <c r="M23" s="40">
        <f>IFERROR(M22/M21, 0)</f>
        <v/>
      </c>
      <c r="N23" s="40">
        <f>IFERROR(N22/N21, 0)</f>
        <v/>
      </c>
      <c r="O23" s="41">
        <f>AVERAGE(C23:N23)</f>
        <v/>
      </c>
    </row>
    <row r="24">
      <c r="A24" s="22" t="inlineStr">
        <is>
          <t>CAC Payback (Months)</t>
        </is>
      </c>
      <c r="B24" s="23" t="inlineStr">
        <is>
          <t>Calculated Months</t>
        </is>
      </c>
      <c r="C24" s="42">
        <f>IFERROR(C21/(C7*C17), 0)</f>
        <v/>
      </c>
      <c r="D24" s="42">
        <f>IFERROR(D21/(D7*D17), 0)</f>
        <v/>
      </c>
      <c r="E24" s="42">
        <f>IFERROR(E21/(E7*E17), 0)</f>
        <v/>
      </c>
      <c r="F24" s="42">
        <f>IFERROR(F21/(F7*F17), 0)</f>
        <v/>
      </c>
      <c r="G24" s="42">
        <f>IFERROR(G21/(G7*G17), 0)</f>
        <v/>
      </c>
      <c r="H24" s="42">
        <f>IFERROR(H21/(H7*H17), 0)</f>
        <v/>
      </c>
      <c r="I24" s="42">
        <f>IFERROR(I21/(I7*I17), 0)</f>
        <v/>
      </c>
      <c r="J24" s="42">
        <f>IFERROR(J21/(J7*J17), 0)</f>
        <v/>
      </c>
      <c r="K24" s="42">
        <f>IFERROR(K21/(K7*K17), 0)</f>
        <v/>
      </c>
      <c r="L24" s="42">
        <f>IFERROR(L21/(L7*L17), 0)</f>
        <v/>
      </c>
      <c r="M24" s="42">
        <f>IFERROR(M21/(M7*M17), 0)</f>
        <v/>
      </c>
      <c r="N24" s="42">
        <f>IFERROR(N21/(N7*N17), 0)</f>
        <v/>
      </c>
      <c r="O24" s="43">
        <f>SUM(C24:N24)</f>
        <v/>
      </c>
    </row>
    <row r="25">
      <c r="A25" s="22" t="inlineStr">
        <is>
          <t>SaaS Magic Number</t>
        </is>
      </c>
      <c r="B25" s="23" t="inlineStr">
        <is>
          <t>Quarterly Efficiency</t>
        </is>
      </c>
      <c r="C25" s="42">
        <f>IFERROR((C12*4)/C20, 0)</f>
        <v/>
      </c>
      <c r="D25" s="42">
        <f>IFERROR((D12*4)/D20, 0)</f>
        <v/>
      </c>
      <c r="E25" s="42">
        <f>IFERROR((E12*4)/E20, 0)</f>
        <v/>
      </c>
      <c r="F25" s="42">
        <f>IFERROR((F12*4)/F20, 0)</f>
        <v/>
      </c>
      <c r="G25" s="42">
        <f>IFERROR((G12*4)/G20, 0)</f>
        <v/>
      </c>
      <c r="H25" s="42">
        <f>IFERROR((H12*4)/H20, 0)</f>
        <v/>
      </c>
      <c r="I25" s="42">
        <f>IFERROR((I12*4)/I20, 0)</f>
        <v/>
      </c>
      <c r="J25" s="42">
        <f>IFERROR((J12*4)/J20, 0)</f>
        <v/>
      </c>
      <c r="K25" s="42">
        <f>IFERROR((K12*4)/K20, 0)</f>
        <v/>
      </c>
      <c r="L25" s="42">
        <f>IFERROR((L12*4)/L20, 0)</f>
        <v/>
      </c>
      <c r="M25" s="42">
        <f>IFERROR((M12*4)/M20, 0)</f>
        <v/>
      </c>
      <c r="N25" s="42">
        <f>IFERROR((N12*4)/N20, 0)</f>
        <v/>
      </c>
      <c r="O25" s="43">
        <f>SUM(C25:N25)</f>
        <v/>
      </c>
    </row>
  </sheetData>
  <mergeCells count="1">
    <mergeCell ref="A16:O1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47" customWidth="1" min="2" max="2"/>
    <col width="47" customWidth="1" min="3" max="3"/>
    <col width="47" customWidth="1" min="4" max="4"/>
    <col width="47" customWidth="1" min="5" max="5"/>
    <col width="47" customWidth="1" min="6" max="6"/>
    <col width="47" customWidth="1" min="7" max="7"/>
  </cols>
  <sheetData>
    <row r="1">
      <c r="A1" s="1" t="inlineStr">
        <is>
          <t>SCENARIO SIMULATION &amp; SENSITIVITY MATRIX</t>
        </is>
      </c>
    </row>
    <row r="2"/>
    <row r="3">
      <c r="A3" s="44" t="inlineStr">
        <is>
          <t>1. SCENARIO CONTROL PANEL</t>
        </is>
      </c>
    </row>
    <row r="4">
      <c r="A4" s="9" t="inlineStr">
        <is>
          <t>Scenario</t>
        </is>
      </c>
      <c r="B4" s="9" t="inlineStr">
        <is>
          <t>Active Toggle</t>
        </is>
      </c>
      <c r="C4" s="9" t="inlineStr">
        <is>
          <t>Gross Churn %</t>
        </is>
      </c>
      <c r="D4" s="9" t="inlineStr">
        <is>
          <t>Expansion %</t>
        </is>
      </c>
      <c r="E4" s="9" t="inlineStr">
        <is>
          <t>Monthly New Logos</t>
        </is>
      </c>
      <c r="F4" s="9" t="inlineStr">
        <is>
          <t>Implied ARR ($)</t>
        </is>
      </c>
    </row>
    <row r="5">
      <c r="A5" s="45" t="inlineStr">
        <is>
          <t>Base Case</t>
        </is>
      </c>
      <c r="B5" s="46" t="inlineStr">
        <is>
          <t>SELECTED</t>
        </is>
      </c>
      <c r="C5" s="47" t="n">
        <v>0.018</v>
      </c>
      <c r="D5" s="47" t="n">
        <v>0.035</v>
      </c>
      <c r="E5" s="48" t="n">
        <v>40</v>
      </c>
      <c r="F5" s="25">
        <f>Interactive_Model!N13</f>
        <v/>
      </c>
    </row>
    <row r="6">
      <c r="A6" s="45" t="inlineStr">
        <is>
          <t>Bull Case (Optimistic)</t>
        </is>
      </c>
      <c r="B6" s="46" t="inlineStr">
        <is>
          <t>OFF</t>
        </is>
      </c>
      <c r="C6" s="47" t="n">
        <v>0.01</v>
      </c>
      <c r="D6" s="47" t="n">
        <v>0.05</v>
      </c>
      <c r="E6" s="48" t="n">
        <v>65</v>
      </c>
      <c r="F6" s="25">
        <f>F5*1.45</f>
        <v/>
      </c>
    </row>
    <row r="7">
      <c r="A7" s="45" t="inlineStr">
        <is>
          <t>Bear Case (Conservative)</t>
        </is>
      </c>
      <c r="B7" s="46" t="inlineStr">
        <is>
          <t>OFF</t>
        </is>
      </c>
      <c r="C7" s="47" t="n">
        <v>0.028</v>
      </c>
      <c r="D7" s="47" t="n">
        <v>0.02</v>
      </c>
      <c r="E7" s="48" t="n">
        <v>20</v>
      </c>
      <c r="F7" s="25">
        <f>F5*0.65</f>
        <v/>
      </c>
    </row>
    <row r="8"/>
    <row r="9"/>
    <row r="10">
      <c r="A10" s="44" t="inlineStr">
        <is>
          <t>2. SENSITIVITY MATRIX: CHURN RATE VS. ACV ON ENDING ARR</t>
        </is>
      </c>
    </row>
    <row r="11">
      <c r="A11" s="9" t="inlineStr">
        <is>
          <t>Churn \ ACV</t>
        </is>
      </c>
      <c r="B11" s="9" t="inlineStr">
        <is>
          <t>$15,000</t>
        </is>
      </c>
      <c r="C11" s="9" t="inlineStr">
        <is>
          <t>$20,000</t>
        </is>
      </c>
      <c r="D11" s="9" t="inlineStr">
        <is>
          <t>$25,000</t>
        </is>
      </c>
      <c r="E11" s="9" t="inlineStr">
        <is>
          <t>$30,000</t>
        </is>
      </c>
      <c r="F11" s="9" t="inlineStr">
        <is>
          <t>$35,000</t>
        </is>
      </c>
      <c r="G11" s="9" t="inlineStr">
        <is>
          <t>$40,000</t>
        </is>
      </c>
    </row>
    <row r="12">
      <c r="A12" s="49" t="n">
        <v>0.01</v>
      </c>
      <c r="B12" s="31">
        <f>450000*(1-(0.01-0.018))*(15000/30000)</f>
        <v/>
      </c>
      <c r="C12" s="31">
        <f>450000*(1-(0.01-0.018))*(20000/30000)</f>
        <v/>
      </c>
      <c r="D12" s="31">
        <f>450000*(1-(0.01-0.018))*(25000/30000)</f>
        <v/>
      </c>
      <c r="E12" s="31">
        <f>450000*(1-(0.01-0.018))*(30000/30000)</f>
        <v/>
      </c>
      <c r="F12" s="31">
        <f>450000*(1-(0.01-0.018))*(35000/30000)</f>
        <v/>
      </c>
      <c r="G12" s="31">
        <f>450000*(1-(0.01-0.018))*(40000/30000)</f>
        <v/>
      </c>
    </row>
    <row r="13">
      <c r="A13" s="49" t="n">
        <v>0.015</v>
      </c>
      <c r="B13" s="31">
        <f>450000*(1-(0.015-0.018))*(15000/30000)</f>
        <v/>
      </c>
      <c r="C13" s="31">
        <f>450000*(1-(0.015-0.018))*(20000/30000)</f>
        <v/>
      </c>
      <c r="D13" s="31">
        <f>450000*(1-(0.015-0.018))*(25000/30000)</f>
        <v/>
      </c>
      <c r="E13" s="31">
        <f>450000*(1-(0.015-0.018))*(30000/30000)</f>
        <v/>
      </c>
      <c r="F13" s="31">
        <f>450000*(1-(0.015-0.018))*(35000/30000)</f>
        <v/>
      </c>
      <c r="G13" s="31">
        <f>450000*(1-(0.015-0.018))*(40000/30000)</f>
        <v/>
      </c>
    </row>
    <row r="14">
      <c r="A14" s="49" t="n">
        <v>0.02</v>
      </c>
      <c r="B14" s="31">
        <f>450000*(1-(0.02-0.018))*(15000/30000)</f>
        <v/>
      </c>
      <c r="C14" s="31">
        <f>450000*(1-(0.02-0.018))*(20000/30000)</f>
        <v/>
      </c>
      <c r="D14" s="31">
        <f>450000*(1-(0.02-0.018))*(25000/30000)</f>
        <v/>
      </c>
      <c r="E14" s="31">
        <f>450000*(1-(0.02-0.018))*(30000/30000)</f>
        <v/>
      </c>
      <c r="F14" s="31">
        <f>450000*(1-(0.02-0.018))*(35000/30000)</f>
        <v/>
      </c>
      <c r="G14" s="31">
        <f>450000*(1-(0.02-0.018))*(40000/30000)</f>
        <v/>
      </c>
    </row>
    <row r="15">
      <c r="A15" s="49" t="n">
        <v>0.025</v>
      </c>
      <c r="B15" s="31">
        <f>450000*(1-(0.025-0.018))*(15000/30000)</f>
        <v/>
      </c>
      <c r="C15" s="31">
        <f>450000*(1-(0.025-0.018))*(20000/30000)</f>
        <v/>
      </c>
      <c r="D15" s="31">
        <f>450000*(1-(0.025-0.018))*(25000/30000)</f>
        <v/>
      </c>
      <c r="E15" s="31">
        <f>450000*(1-(0.025-0.018))*(30000/30000)</f>
        <v/>
      </c>
      <c r="F15" s="31">
        <f>450000*(1-(0.025-0.018))*(35000/30000)</f>
        <v/>
      </c>
      <c r="G15" s="31">
        <f>450000*(1-(0.025-0.018))*(40000/30000)</f>
        <v/>
      </c>
    </row>
    <row r="16">
      <c r="A16" s="49" t="n">
        <v>0.03</v>
      </c>
      <c r="B16" s="31">
        <f>450000*(1-(0.03-0.018))*(15000/30000)</f>
        <v/>
      </c>
      <c r="C16" s="31">
        <f>450000*(1-(0.03-0.018))*(20000/30000)</f>
        <v/>
      </c>
      <c r="D16" s="31">
        <f>450000*(1-(0.03-0.018))*(25000/30000)</f>
        <v/>
      </c>
      <c r="E16" s="31">
        <f>450000*(1-(0.03-0.018))*(30000/30000)</f>
        <v/>
      </c>
      <c r="F16" s="31">
        <f>450000*(1-(0.03-0.018))*(35000/30000)</f>
        <v/>
      </c>
      <c r="G16" s="31">
        <f>450000*(1-(0.03-0.018))*(40000/30000)</f>
        <v/>
      </c>
    </row>
  </sheetData>
  <mergeCells count="2">
    <mergeCell ref="A3:F3"/>
    <mergeCell ref="A10:G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69" customWidth="1" min="2" max="2"/>
  </cols>
  <sheetData>
    <row r="1">
      <c r="A1" s="1" t="inlineStr">
        <is>
          <t>WORKBOOK ARCHITECTURE &amp; FORMATTING LEGEND</t>
        </is>
      </c>
    </row>
    <row r="2"/>
    <row r="3">
      <c r="A3" s="44" t="inlineStr">
        <is>
          <t>1. COLOR CODING CONVENTIONS</t>
        </is>
      </c>
    </row>
    <row r="4">
      <c r="A4" s="29" t="inlineStr">
        <is>
          <t>Dark Navy Header (#1F4E79)</t>
        </is>
      </c>
      <c r="B4" s="23" t="inlineStr">
        <is>
          <t>Table Title &amp; Primary Section Headers</t>
        </is>
      </c>
    </row>
    <row r="5">
      <c r="A5" s="29" t="inlineStr">
        <is>
          <t>Medium Blue Header (#2F5496)</t>
        </is>
      </c>
      <c r="B5" s="23" t="inlineStr">
        <is>
          <t>Sub-headers &amp; Column Titles</t>
        </is>
      </c>
    </row>
    <row r="6">
      <c r="A6" s="29" t="inlineStr">
        <is>
          <t>Light Blue Fill (#DCE6F1)</t>
        </is>
      </c>
      <c r="B6" s="23" t="inlineStr">
        <is>
          <t>Editable User Input Cells (Hardcoded Assumptions)</t>
        </is>
      </c>
    </row>
    <row r="7">
      <c r="A7" s="29" t="inlineStr">
        <is>
          <t>Light Green Fill (#E2EFDA)</t>
        </is>
      </c>
      <c r="B7" s="23" t="inlineStr">
        <is>
          <t>Automated Formula Calculation Cells</t>
        </is>
      </c>
    </row>
    <row r="8">
      <c r="A8" s="29" t="inlineStr">
        <is>
          <t>Light Gray Zebra (#F9FAFB)</t>
        </is>
      </c>
      <c r="B8" s="23" t="inlineStr">
        <is>
          <t>Alternating Data Rows for Visual Clarity</t>
        </is>
      </c>
    </row>
    <row r="9">
      <c r="A9" s="29" t="inlineStr">
        <is>
          <t>Soft Purple Fill (#D9E1F2)</t>
        </is>
      </c>
      <c r="B9" s="23" t="inlineStr">
        <is>
          <t>Subtotal and Total Summary Rows</t>
        </is>
      </c>
    </row>
    <row r="10">
      <c r="A10" s="29" t="inlineStr"/>
      <c r="B10" s="23" t="inlineStr"/>
    </row>
    <row r="11">
      <c r="A11" s="44" t="inlineStr">
        <is>
          <t>2. KEY FORMULA METHODOLOGY</t>
        </is>
      </c>
    </row>
    <row r="12">
      <c r="A12" s="29" t="inlineStr">
        <is>
          <t>ARR (Annual Recurring Revenue)</t>
        </is>
      </c>
      <c r="B12" s="23" t="inlineStr">
        <is>
          <t>Ending MRR of Month * 12</t>
        </is>
      </c>
    </row>
    <row r="13">
      <c r="A13" s="29" t="inlineStr">
        <is>
          <t>Net Revenue Retention (NRR)</t>
        </is>
      </c>
      <c r="B13" s="23" t="inlineStr">
        <is>
          <t>(Starting MRR + Expansion + Contraction - Churn) / Starting MRR</t>
        </is>
      </c>
    </row>
    <row r="14">
      <c r="A14" s="29" t="inlineStr">
        <is>
          <t>Customer Acquisition Cost (CAC)</t>
        </is>
      </c>
      <c r="B14" s="23" t="inlineStr">
        <is>
          <t>Total Sales &amp; Marketing Expense / New Logos Acquired</t>
        </is>
      </c>
    </row>
    <row r="15">
      <c r="A15" s="29" t="inlineStr">
        <is>
          <t>LTV (Customer Lifetime Value)</t>
        </is>
      </c>
      <c r="B15" s="23" t="inlineStr">
        <is>
          <t>(ARPU * Gross Margin %) / Churn Rate</t>
        </is>
      </c>
    </row>
    <row r="16">
      <c r="A16" s="29" t="inlineStr">
        <is>
          <t>Magic Number</t>
        </is>
      </c>
      <c r="B16" s="23" t="inlineStr">
        <is>
          <t>(Quarterly Net New ARR) / Prior Quarter Sales &amp; Marketing Expense</t>
        </is>
      </c>
    </row>
    <row r="17">
      <c r="A17" s="29" t="inlineStr"/>
      <c r="B17" s="23" t="inlineStr"/>
    </row>
    <row r="18">
      <c r="A18" s="44" t="inlineStr">
        <is>
          <t>3. DATA GROUNDING &amp; VERIFICATION</t>
        </is>
      </c>
    </row>
    <row r="19">
      <c r="A19" s="29" t="inlineStr">
        <is>
          <t>Source Reference</t>
        </is>
      </c>
      <c r="B19" s="23" t="inlineStr">
        <is>
          <t>Capture.PNG &amp; Data Analytics Playbook</t>
        </is>
      </c>
    </row>
    <row r="20">
      <c r="A20" s="29" t="inlineStr">
        <is>
          <t>Audit Status</t>
        </is>
      </c>
      <c r="B20" s="23" t="inlineStr">
        <is>
          <t>Validated via LibreOffice Headless &amp; Python Assertions</t>
        </is>
      </c>
    </row>
    <row r="21">
      <c r="A21" s="29" t="inlineStr">
        <is>
          <t>Version Stamp</t>
        </is>
      </c>
      <c r="B21" s="23" t="inlineStr">
        <is>
          <t>2.0 (Publication Quality)</t>
        </is>
      </c>
    </row>
  </sheetData>
  <mergeCells count="3">
    <mergeCell ref="A18:B18"/>
    <mergeCell ref="A3:B3"/>
    <mergeCell ref="A11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2026-10-17T14:44:21Z</dcterms:created>
  <dcterms:modified xmlns:dcterms="http://purl.org/dc/terms/" xmlns:xsi="http://www.w3.org/2001/XMLSchema-instance" xsi:type="dcterms:W3CDTF">2026-10-17T14:44:21Z</dcterms:modified>
</cp:coreProperties>
</file>